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00" yWindow="2480" windowWidth="13180" windowHeight="14620" activeTab="0"/>
  </bookViews>
  <sheets>
    <sheet name="Corn to Ethanol" sheetId="1" r:id="rId1"/>
  </sheets>
  <definedNames/>
  <calcPr fullCalcOnLoad="1"/>
</workbook>
</file>

<file path=xl/sharedStrings.xml><?xml version="1.0" encoding="utf-8"?>
<sst xmlns="http://schemas.openxmlformats.org/spreadsheetml/2006/main" count="328" uniqueCount="189">
  <si>
    <t>*Unless otherwise noted, unit emergy ratios in notes are original values.  For final valuation, these have been multiplied by 1.68 to normalize them to the current standard global emergy flow.</t>
  </si>
  <si>
    <t>(calculated using solar constant of 2 Langleys/sec and integrating over changing surface area for one year, latitude 27N, longitude 82W)</t>
  </si>
  <si>
    <t>(NASAeosweb 2002)</t>
  </si>
  <si>
    <t>sej/J</t>
  </si>
  <si>
    <t>(Odum 1996)</t>
  </si>
  <si>
    <t>sej/g</t>
  </si>
  <si>
    <t>(Brown et al. 1991)</t>
  </si>
  <si>
    <t>(Brandt-Williams, revised 2002)</t>
  </si>
  <si>
    <t>sej/$, 1983</t>
  </si>
  <si>
    <r>
      <t xml:space="preserve">Pesticides, g per ha </t>
    </r>
    <r>
      <rPr>
        <sz val="10"/>
        <rFont val="Arial"/>
        <family val="0"/>
      </rPr>
      <t xml:space="preserve">(includes pesticides, fungicides, herbicides) </t>
    </r>
    <r>
      <rPr>
        <b/>
        <sz val="10"/>
        <rFont val="Arial"/>
        <family val="2"/>
      </rPr>
      <t xml:space="preserve"> </t>
    </r>
  </si>
  <si>
    <t>Annual emergy   =</t>
  </si>
  <si>
    <t>Total Emergy</t>
  </si>
  <si>
    <t>TRANSFORMITIES, Calculated</t>
  </si>
  <si>
    <t>INDICES, calculated</t>
  </si>
  <si>
    <t>Unit Solar</t>
  </si>
  <si>
    <t>Solar</t>
  </si>
  <si>
    <t>Data</t>
  </si>
  <si>
    <t>EMERGY</t>
  </si>
  <si>
    <t>Note</t>
  </si>
  <si>
    <t>Item</t>
  </si>
  <si>
    <t>Unit</t>
  </si>
  <si>
    <t>(units/yr)</t>
  </si>
  <si>
    <t>(sej/unit)</t>
  </si>
  <si>
    <t>(E13 sej/yr)</t>
  </si>
  <si>
    <t>RENEWABLE RESOURCES</t>
  </si>
  <si>
    <t>Sun</t>
  </si>
  <si>
    <t>J</t>
  </si>
  <si>
    <t>Rain</t>
  </si>
  <si>
    <t>NONRENEWABLE STORAGES</t>
  </si>
  <si>
    <t>Sum of free inputs (sun, rain omitted)</t>
  </si>
  <si>
    <t>EMERGY*</t>
  </si>
  <si>
    <t>Machinery, g (assuming 10 year life)</t>
  </si>
  <si>
    <t>Electricity</t>
  </si>
  <si>
    <t>g</t>
  </si>
  <si>
    <t>Pesticides</t>
  </si>
  <si>
    <t>g P</t>
  </si>
  <si>
    <t>g N</t>
  </si>
  <si>
    <t>Labor</t>
  </si>
  <si>
    <t>Services</t>
  </si>
  <si>
    <t>$</t>
  </si>
  <si>
    <t>Sum of purchased inputs</t>
  </si>
  <si>
    <t>Name of Index</t>
  </si>
  <si>
    <t>Expression</t>
  </si>
  <si>
    <t>Quantity</t>
  </si>
  <si>
    <t>Investment Ratio</t>
  </si>
  <si>
    <t>(P + S)/(N + R)</t>
  </si>
  <si>
    <t>Yield Ratio</t>
  </si>
  <si>
    <t>Y/(P + S)</t>
  </si>
  <si>
    <t>Nonrenewable/Renewable</t>
  </si>
  <si>
    <t>(N + P)/R</t>
  </si>
  <si>
    <t>Empower Density</t>
  </si>
  <si>
    <t>sej/ha/yr</t>
  </si>
  <si>
    <t>Sun, J</t>
  </si>
  <si>
    <t>Annual energy =</t>
  </si>
  <si>
    <t>(Avg. Total Annual Insolation J/yr)(Area)(1-albedo)</t>
  </si>
  <si>
    <t>Insolation:</t>
  </si>
  <si>
    <t>J/m2/yr</t>
  </si>
  <si>
    <t>Area:</t>
  </si>
  <si>
    <t>m2</t>
  </si>
  <si>
    <t>Albedo:</t>
  </si>
  <si>
    <t>Annual energy:</t>
  </si>
  <si>
    <t>Rain, J</t>
  </si>
  <si>
    <t>in/yr:</t>
  </si>
  <si>
    <t>(AFSIRS estimate, Smajstrla, 1990)</t>
  </si>
  <si>
    <t>Net Topsoil Loss, J</t>
  </si>
  <si>
    <t>Erosion rate   =</t>
  </si>
  <si>
    <t>FAECM data (Fluck, 1992 )</t>
  </si>
  <si>
    <t>Annual consumption:</t>
  </si>
  <si>
    <t>Lime, g per ha</t>
  </si>
  <si>
    <t>Annual consumption, g:</t>
  </si>
  <si>
    <t xml:space="preserve">Phosphate, g P per ha </t>
  </si>
  <si>
    <t>Nitrogen, g N per ha</t>
  </si>
  <si>
    <t>Labor, J</t>
  </si>
  <si>
    <t>pers-hours:</t>
  </si>
  <si>
    <t>Services, $ per ha</t>
  </si>
  <si>
    <t>$/yr:</t>
  </si>
  <si>
    <t>($ /yr)(sej/$)</t>
  </si>
  <si>
    <t>Dry weight =</t>
  </si>
  <si>
    <t>g/ha</t>
  </si>
  <si>
    <t>Product in Joules</t>
  </si>
  <si>
    <t>8.6% protein, 91.4% carbohydrate</t>
  </si>
  <si>
    <t>(Paul and Southgate, 1978)</t>
  </si>
  <si>
    <t xml:space="preserve">Energy content  = </t>
  </si>
  <si>
    <t>kg</t>
  </si>
  <si>
    <r>
      <t>EES 6007 Corn to Ethanol</t>
    </r>
    <r>
      <rPr>
        <sz val="12"/>
        <rFont val="Arial"/>
        <family val="2"/>
      </rPr>
      <t>, per ha per year</t>
    </r>
  </si>
  <si>
    <t>Seeds</t>
  </si>
  <si>
    <t>Processing Facility</t>
  </si>
  <si>
    <t>Transport</t>
  </si>
  <si>
    <t>10 to 25% for cropland (http://www.ic.arizona.edu/ic/nats1011/lectures/ch03/FIG03_006.JPG)</t>
  </si>
  <si>
    <t>1 acre of corn 4,000 gal/day (http://www-eosdis.ornl.gov/articles/NASA_Fact_Sheets/WaterCycle.pdf)</t>
  </si>
  <si>
    <t>Ethanol</t>
  </si>
  <si>
    <t>Natural Gas</t>
  </si>
  <si>
    <t>Equipment</t>
  </si>
  <si>
    <t>Concrete</t>
  </si>
  <si>
    <t>Steel</t>
  </si>
  <si>
    <t>Diesel Fuel</t>
  </si>
  <si>
    <t>Operation &amp; Maintenance Labor</t>
  </si>
  <si>
    <t>Process and cooling water</t>
  </si>
  <si>
    <t>Nitrogen Fertilizer</t>
  </si>
  <si>
    <t>Phosphate Fertilizer</t>
  </si>
  <si>
    <t>Agricultural Machinery</t>
  </si>
  <si>
    <t>Net Topsoil Loss/Gain</t>
  </si>
  <si>
    <t>Purchased Inputs</t>
  </si>
  <si>
    <t>Operational inputs- Corn Field</t>
  </si>
  <si>
    <t>Lime</t>
  </si>
  <si>
    <t>Gasoline</t>
  </si>
  <si>
    <t>Ammonia</t>
  </si>
  <si>
    <t>Process and Cooling Water</t>
  </si>
  <si>
    <t>Yield - 11,288 kg/ha (confirm)</t>
  </si>
  <si>
    <t>Total Yield, dry wt. corn (180 b/a)</t>
  </si>
  <si>
    <t>(liters fuel) * (3.49E+07 J/L)</t>
  </si>
  <si>
    <t>Liters:</t>
  </si>
  <si>
    <t>Wilcke and Chaplin, 2000</t>
  </si>
  <si>
    <t>Pimentel and Pimentel, 1996</t>
  </si>
  <si>
    <t>Larson and Cardwell, 1999</t>
  </si>
  <si>
    <t>USDA, 2002</t>
  </si>
  <si>
    <t>Brees, 2004</t>
  </si>
  <si>
    <t>Pimentel and Pimentel,1996</t>
  </si>
  <si>
    <t>Brown and Ulgiati, 2004</t>
  </si>
  <si>
    <t>USDA, 2004 (NE IL)</t>
  </si>
  <si>
    <t>Notes:</t>
  </si>
  <si>
    <t>[Pimentel et al., 1988 pg. 198]</t>
  </si>
  <si>
    <t>[Grethlein and Nelson, 1992]</t>
  </si>
  <si>
    <t>Annual capital costs:  $201.79</t>
  </si>
  <si>
    <t>Insurance:  $18.16</t>
  </si>
  <si>
    <t>Maintanence:  $45.41</t>
  </si>
  <si>
    <t>yrs</t>
  </si>
  <si>
    <t>Annual capital cost and services</t>
  </si>
  <si>
    <t>kg/yr</t>
  </si>
  <si>
    <t>kwh</t>
  </si>
  <si>
    <t>From 24% moisture to 15% moisture for one Bushel of corn Using Natural Gas</t>
  </si>
  <si>
    <t>(Purdue 1992)</t>
  </si>
  <si>
    <t>BTU</t>
  </si>
  <si>
    <t>Drying to 15%=</t>
  </si>
  <si>
    <t>BTU=</t>
  </si>
  <si>
    <t>Energy Needed/bushel=</t>
  </si>
  <si>
    <t>kg/ha</t>
  </si>
  <si>
    <t>Assume 180 bu/acre=</t>
  </si>
  <si>
    <t>To build high-temperature dryer to dry corn</t>
  </si>
  <si>
    <t>Machine cost= $30,000</t>
  </si>
  <si>
    <t>Construction cost= $15,000</t>
  </si>
  <si>
    <t>Machine life= 30 years</t>
  </si>
  <si>
    <t>g/m^2/year</t>
  </si>
  <si>
    <t>NRCS &lt;http://www.il.nrcs.usda.gov/technical/nri/highlights.html&gt;</t>
  </si>
  <si>
    <t>Northern University &lt;http://www.northern.edu/natsource/soils/soil01factsheet_2.htm&gt; NRCS &lt;http://ortho.ftw.nrcs.usda.gov/osd/dat/T/TAMA.html&gt;</t>
  </si>
  <si>
    <t>Conversion to ha=</t>
  </si>
  <si>
    <t>sej/$US</t>
  </si>
  <si>
    <t>$US/year</t>
  </si>
  <si>
    <t>Prorated Annual Cost=</t>
  </si>
  <si>
    <t>Drying Facility</t>
  </si>
  <si>
    <t>Capital cost and services</t>
  </si>
  <si>
    <t>Total:</t>
  </si>
  <si>
    <t>Assumptions: 50 mile round trip, 2.88 trips/ha, 6mpg</t>
  </si>
  <si>
    <t>24 gal./ha:</t>
  </si>
  <si>
    <t>Per ha:</t>
  </si>
  <si>
    <t>Per Year:</t>
  </si>
  <si>
    <t>Assumptions: Truck=$100,000 Cost, 10-year Service Life, 10,000lb Gross Weight, Truck Usage=10%</t>
  </si>
  <si>
    <t>NASS, 1999</t>
  </si>
  <si>
    <t>hrs/ha</t>
  </si>
  <si>
    <t>UEV =</t>
  </si>
  <si>
    <t>Irrigationtion, J</t>
  </si>
  <si>
    <t xml:space="preserve">( in/yr)(Area)(0.0254 m/in)(1E6g/m3)(4.74J/g)(1 - runoff) </t>
  </si>
  <si>
    <r>
      <t>(g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O/yr)(area)*Gibbs energy)</t>
    </r>
  </si>
  <si>
    <t>=</t>
  </si>
  <si>
    <t>Irrigation</t>
  </si>
  <si>
    <t>% ground water =</t>
  </si>
  <si>
    <t>Area, m2=</t>
  </si>
  <si>
    <t>runoff coefficient=</t>
  </si>
  <si>
    <t>Annual energy=</t>
  </si>
  <si>
    <t>24% UEV of gd water and 76% at UEV of rain</t>
  </si>
  <si>
    <t>hr</t>
  </si>
  <si>
    <t>sej/hr</t>
  </si>
  <si>
    <t xml:space="preserve">                          Total allocated per year=  </t>
  </si>
  <si>
    <t>Brown and Ulgiati, 2017</t>
  </si>
  <si>
    <t>Assumptions:  2 hours/trip, 2,88 trips/ha</t>
  </si>
  <si>
    <t xml:space="preserve">                          Total allocated per year=   </t>
  </si>
  <si>
    <t>sej/kg</t>
  </si>
  <si>
    <t>kWh</t>
  </si>
  <si>
    <t>g/yr</t>
  </si>
  <si>
    <t>hr/yr</t>
  </si>
  <si>
    <t>sej/$,</t>
  </si>
  <si>
    <t>(NEAD, 2017)</t>
  </si>
  <si>
    <t>Computed</t>
  </si>
  <si>
    <t>sej/gC</t>
  </si>
  <si>
    <t>% Carbon in soil =</t>
  </si>
  <si>
    <t>Soil loss =</t>
  </si>
  <si>
    <t xml:space="preserve">(farmed area)(erosion rate) </t>
  </si>
  <si>
    <t>kg/kr</t>
  </si>
  <si>
    <t>Carbon loss ==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</si>
</sst>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0%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color indexed="10"/>
      <name val="Arial"/>
      <family val="2"/>
    </font>
    <font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vertAlign val="subscript"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1" fontId="7" fillId="0" borderId="12" xfId="0" applyNumberFormat="1" applyFont="1" applyBorder="1" applyAlignment="1">
      <alignment horizontal="right"/>
    </xf>
    <xf numFmtId="11" fontId="7" fillId="0" borderId="1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1" fontId="9" fillId="0" borderId="13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1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1" fontId="7" fillId="0" borderId="0" xfId="0" applyNumberFormat="1" applyFont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1" fontId="7" fillId="0" borderId="16" xfId="0" applyNumberFormat="1" applyFont="1" applyBorder="1" applyAlignment="1">
      <alignment horizontal="center"/>
    </xf>
    <xf numFmtId="11" fontId="6" fillId="0" borderId="16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right"/>
    </xf>
    <xf numFmtId="11" fontId="7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11" fontId="1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1" fontId="4" fillId="0" borderId="0" xfId="0" applyNumberFormat="1" applyFont="1" applyAlignment="1">
      <alignment horizontal="left" indent="1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1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horizontal="left" vertical="top" wrapText="1"/>
    </xf>
    <xf numFmtId="0" fontId="4" fillId="0" borderId="0" xfId="0" applyFont="1" applyAlignment="1" quotePrefix="1">
      <alignment horizontal="right"/>
    </xf>
    <xf numFmtId="9" fontId="0" fillId="0" borderId="0" xfId="59" applyFont="1" applyAlignment="1">
      <alignment horizontal="center"/>
    </xf>
    <xf numFmtId="164" fontId="7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left"/>
    </xf>
    <xf numFmtId="168" fontId="4" fillId="0" borderId="0" xfId="59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showGridLines="0" tabSelected="1" workbookViewId="0" topLeftCell="D29">
      <selection activeCell="K29" sqref="K29"/>
    </sheetView>
  </sheetViews>
  <sheetFormatPr defaultColWidth="11.50390625" defaultRowHeight="12"/>
  <cols>
    <col min="1" max="1" width="4.625" style="0" customWidth="1"/>
    <col min="2" max="2" width="33.50390625" style="0" customWidth="1"/>
    <col min="3" max="3" width="11.625" style="41" customWidth="1"/>
    <col min="4" max="5" width="11.50390625" style="0" customWidth="1"/>
    <col min="6" max="6" width="13.00390625" style="0" customWidth="1"/>
    <col min="7" max="7" width="13.50390625" style="0" customWidth="1"/>
    <col min="8" max="8" width="17.50390625" style="0" customWidth="1"/>
  </cols>
  <sheetData>
    <row r="1" spans="1:7" ht="15">
      <c r="A1" s="80" t="s">
        <v>84</v>
      </c>
      <c r="B1" s="80"/>
      <c r="C1" s="80"/>
      <c r="D1" s="80"/>
      <c r="E1" s="80"/>
      <c r="F1" s="80"/>
      <c r="G1" s="80"/>
    </row>
    <row r="2" spans="1:6" ht="15.75" thickBot="1">
      <c r="A2" s="11"/>
      <c r="B2" s="11"/>
      <c r="C2" s="20"/>
      <c r="D2" s="11"/>
      <c r="E2" s="11"/>
      <c r="F2" s="11"/>
    </row>
    <row r="3" spans="1:6" ht="15">
      <c r="A3" s="12"/>
      <c r="B3" s="12"/>
      <c r="C3" s="13"/>
      <c r="D3" s="12"/>
      <c r="E3" s="13" t="s">
        <v>14</v>
      </c>
      <c r="F3" s="14" t="s">
        <v>15</v>
      </c>
    </row>
    <row r="4" spans="1:6" ht="15">
      <c r="A4" s="15"/>
      <c r="B4" s="15"/>
      <c r="C4" s="16"/>
      <c r="D4" s="16" t="s">
        <v>16</v>
      </c>
      <c r="E4" s="16" t="s">
        <v>30</v>
      </c>
      <c r="F4" s="17" t="s">
        <v>17</v>
      </c>
    </row>
    <row r="5" spans="1:6" ht="15">
      <c r="A5" s="18" t="s">
        <v>18</v>
      </c>
      <c r="B5" s="16" t="s">
        <v>19</v>
      </c>
      <c r="C5" s="16" t="s">
        <v>20</v>
      </c>
      <c r="D5" s="16" t="s">
        <v>21</v>
      </c>
      <c r="E5" s="16" t="s">
        <v>22</v>
      </c>
      <c r="F5" s="17" t="s">
        <v>23</v>
      </c>
    </row>
    <row r="6" spans="1:6" ht="15.75" thickBot="1">
      <c r="A6" s="19"/>
      <c r="B6" s="20"/>
      <c r="C6" s="20"/>
      <c r="D6" s="20"/>
      <c r="E6" s="20"/>
      <c r="F6" s="21"/>
    </row>
    <row r="7" spans="1:6" ht="15">
      <c r="A7" s="82" t="s">
        <v>24</v>
      </c>
      <c r="B7" s="82"/>
      <c r="C7" s="24"/>
      <c r="D7" s="24"/>
      <c r="E7" s="24"/>
      <c r="F7" s="25"/>
    </row>
    <row r="8" spans="1:6" ht="15">
      <c r="A8" s="23">
        <v>1</v>
      </c>
      <c r="B8" s="23" t="s">
        <v>25</v>
      </c>
      <c r="C8" s="24" t="s">
        <v>26</v>
      </c>
      <c r="D8" s="26">
        <f>C69</f>
        <v>45080000000000</v>
      </c>
      <c r="E8" s="24">
        <v>1</v>
      </c>
      <c r="F8" s="27">
        <f>D8*E8/10000000000000</f>
        <v>4.508</v>
      </c>
    </row>
    <row r="9" spans="1:6" ht="15">
      <c r="A9" s="23">
        <v>2</v>
      </c>
      <c r="B9" s="23" t="s">
        <v>27</v>
      </c>
      <c r="C9" s="24" t="s">
        <v>26</v>
      </c>
      <c r="D9" s="26">
        <f>C76</f>
        <v>48760380000</v>
      </c>
      <c r="E9" s="26">
        <f>C77</f>
        <v>7000</v>
      </c>
      <c r="F9" s="27">
        <f>D9*E9/10000000000000</f>
        <v>34.132266</v>
      </c>
    </row>
    <row r="10" spans="1:6" ht="15">
      <c r="A10" s="23">
        <v>3</v>
      </c>
      <c r="B10" s="23" t="s">
        <v>164</v>
      </c>
      <c r="C10" s="24" t="s">
        <v>26</v>
      </c>
      <c r="D10" s="26">
        <f>C80</f>
        <v>64510590560</v>
      </c>
      <c r="E10" s="26">
        <f>C82</f>
        <v>16840</v>
      </c>
      <c r="F10" s="27">
        <f>D10*E10/10000000000000</f>
        <v>108.63583450304</v>
      </c>
    </row>
    <row r="11" spans="1:6" ht="15">
      <c r="A11" s="83" t="s">
        <v>28</v>
      </c>
      <c r="B11" s="83"/>
      <c r="C11" s="24"/>
      <c r="D11" s="26"/>
      <c r="E11" s="26"/>
      <c r="F11" s="27"/>
    </row>
    <row r="12" spans="1:6" ht="15">
      <c r="A12" s="23">
        <v>4</v>
      </c>
      <c r="B12" s="23" t="s">
        <v>101</v>
      </c>
      <c r="C12" s="24" t="s">
        <v>26</v>
      </c>
      <c r="D12" s="26">
        <f>C88</f>
        <v>50.2</v>
      </c>
      <c r="E12" s="26">
        <f>C89</f>
        <v>92900000000000</v>
      </c>
      <c r="F12" s="27">
        <f>D12*E12/10000000000000</f>
        <v>466.358</v>
      </c>
    </row>
    <row r="13" spans="1:6" ht="15">
      <c r="A13" s="23"/>
      <c r="B13" s="84" t="s">
        <v>29</v>
      </c>
      <c r="C13" s="84"/>
      <c r="D13" s="84"/>
      <c r="E13" s="29"/>
      <c r="F13" s="30">
        <f>F10+F12+F9</f>
        <v>609.12610050304</v>
      </c>
    </row>
    <row r="14" spans="1:6" ht="15">
      <c r="A14" s="23"/>
      <c r="B14" s="53"/>
      <c r="C14" s="53"/>
      <c r="D14" s="53"/>
      <c r="E14" s="29"/>
      <c r="F14" s="54"/>
    </row>
    <row r="15" spans="1:6" ht="15">
      <c r="A15" s="83" t="s">
        <v>102</v>
      </c>
      <c r="B15" s="83"/>
      <c r="C15" s="24"/>
      <c r="D15" s="24"/>
      <c r="E15" s="29"/>
      <c r="F15" s="54"/>
    </row>
    <row r="16" spans="1:6" ht="15">
      <c r="A16" s="23" t="s">
        <v>103</v>
      </c>
      <c r="B16" s="23"/>
      <c r="C16" s="23"/>
      <c r="D16" s="55"/>
      <c r="E16" s="55"/>
      <c r="F16" s="27"/>
    </row>
    <row r="17" spans="1:6" ht="15">
      <c r="A17" s="23">
        <v>5</v>
      </c>
      <c r="B17" s="23" t="s">
        <v>95</v>
      </c>
      <c r="C17" s="24" t="s">
        <v>26</v>
      </c>
      <c r="D17" s="55">
        <f>C92</f>
        <v>3071200000</v>
      </c>
      <c r="E17" s="26">
        <f>C93</f>
        <v>170000</v>
      </c>
      <c r="F17" s="85">
        <f aca="true" t="shared" si="0" ref="F17:F25">D17*E17/10000000000000</f>
        <v>52.2104</v>
      </c>
    </row>
    <row r="18" spans="1:6" ht="15">
      <c r="A18" s="23">
        <v>6</v>
      </c>
      <c r="B18" s="23" t="s">
        <v>100</v>
      </c>
      <c r="C18" s="24" t="s">
        <v>33</v>
      </c>
      <c r="D18" s="26">
        <f>C95*1000</f>
        <v>55000</v>
      </c>
      <c r="E18" s="26">
        <f>C96</f>
        <v>11200000000</v>
      </c>
      <c r="F18" s="85">
        <f t="shared" si="0"/>
        <v>61.6</v>
      </c>
    </row>
    <row r="19" spans="1:6" ht="15">
      <c r="A19" s="23">
        <v>7</v>
      </c>
      <c r="B19" s="23" t="s">
        <v>34</v>
      </c>
      <c r="C19" s="24" t="s">
        <v>33</v>
      </c>
      <c r="D19" s="26">
        <f>C98</f>
        <v>9000</v>
      </c>
      <c r="E19" s="26">
        <f>C100*1.27</f>
        <v>12700000000</v>
      </c>
      <c r="F19" s="85">
        <f t="shared" si="0"/>
        <v>11.43</v>
      </c>
    </row>
    <row r="20" spans="1:6" ht="15">
      <c r="A20" s="23">
        <v>8</v>
      </c>
      <c r="B20" s="23" t="s">
        <v>37</v>
      </c>
      <c r="C20" s="24" t="s">
        <v>170</v>
      </c>
      <c r="D20" s="26">
        <f>C102</f>
        <v>11.4</v>
      </c>
      <c r="E20" s="26">
        <f>C103</f>
        <v>22450000000000</v>
      </c>
      <c r="F20" s="85">
        <f t="shared" si="0"/>
        <v>25.593</v>
      </c>
    </row>
    <row r="21" spans="1:6" ht="15">
      <c r="A21" s="23">
        <v>9</v>
      </c>
      <c r="B21" s="23" t="s">
        <v>38</v>
      </c>
      <c r="C21" s="24" t="s">
        <v>39</v>
      </c>
      <c r="D21" s="26">
        <f>C105</f>
        <v>301</v>
      </c>
      <c r="E21" s="26">
        <f>C107</f>
        <v>2000000000000</v>
      </c>
      <c r="F21" s="85">
        <f t="shared" si="0"/>
        <v>60.2</v>
      </c>
    </row>
    <row r="22" spans="1:6" ht="15">
      <c r="A22" s="23">
        <v>10</v>
      </c>
      <c r="B22" s="23" t="s">
        <v>85</v>
      </c>
      <c r="C22" s="24" t="s">
        <v>33</v>
      </c>
      <c r="D22" s="26">
        <f>C109</f>
        <v>21000</v>
      </c>
      <c r="E22" s="26">
        <f>C110</f>
        <v>201000</v>
      </c>
      <c r="F22" s="85">
        <f t="shared" si="0"/>
        <v>0.0004221</v>
      </c>
    </row>
    <row r="23" spans="1:6" ht="15">
      <c r="A23" s="23">
        <v>11</v>
      </c>
      <c r="B23" s="23" t="s">
        <v>104</v>
      </c>
      <c r="C23" s="24" t="s">
        <v>33</v>
      </c>
      <c r="D23" s="26">
        <f>C112</f>
        <v>1120000</v>
      </c>
      <c r="E23" s="26">
        <f>C113</f>
        <v>17200000</v>
      </c>
      <c r="F23" s="85">
        <f t="shared" si="0"/>
        <v>1.9264</v>
      </c>
    </row>
    <row r="24" spans="1:8" ht="15">
      <c r="A24" s="23">
        <v>12</v>
      </c>
      <c r="B24" s="23" t="s">
        <v>99</v>
      </c>
      <c r="C24" s="24" t="s">
        <v>33</v>
      </c>
      <c r="D24" s="26">
        <f>C115</f>
        <v>65000</v>
      </c>
      <c r="E24" s="26">
        <f>C116</f>
        <v>6720000000</v>
      </c>
      <c r="F24" s="85">
        <f t="shared" si="0"/>
        <v>43.68</v>
      </c>
      <c r="H24" s="91"/>
    </row>
    <row r="25" spans="1:6" ht="15">
      <c r="A25" s="23">
        <v>13</v>
      </c>
      <c r="B25" s="23" t="s">
        <v>98</v>
      </c>
      <c r="C25" s="24" t="s">
        <v>33</v>
      </c>
      <c r="D25" s="26">
        <f>C118</f>
        <v>153000</v>
      </c>
      <c r="E25" s="26">
        <f>C119</f>
        <v>2400000000</v>
      </c>
      <c r="F25" s="85">
        <f t="shared" si="0"/>
        <v>36.72</v>
      </c>
    </row>
    <row r="26" spans="1:6" ht="15">
      <c r="A26" s="23">
        <v>14</v>
      </c>
      <c r="B26" s="23" t="s">
        <v>91</v>
      </c>
      <c r="C26" s="24" t="s">
        <v>26</v>
      </c>
      <c r="D26" s="26">
        <f>C127</f>
        <v>7357591274.400001</v>
      </c>
      <c r="E26" s="26">
        <f>C128</f>
        <v>146000</v>
      </c>
      <c r="F26" s="85">
        <f>D26*E26/10000000000000</f>
        <v>107.42083260624001</v>
      </c>
    </row>
    <row r="27" spans="1:6" ht="15">
      <c r="A27" s="23">
        <v>15</v>
      </c>
      <c r="B27" s="23" t="s">
        <v>149</v>
      </c>
      <c r="C27" s="24" t="s">
        <v>39</v>
      </c>
      <c r="D27" s="26">
        <f>C133</f>
        <v>1500</v>
      </c>
      <c r="E27" s="26">
        <f>C134</f>
        <v>1900000000000</v>
      </c>
      <c r="F27" s="90">
        <f>D27*E27/10000000000000</f>
        <v>285</v>
      </c>
    </row>
    <row r="28" spans="1:6" ht="15">
      <c r="A28" s="23"/>
      <c r="B28" s="23"/>
      <c r="C28" s="24"/>
      <c r="D28" s="26"/>
      <c r="E28" s="26"/>
      <c r="F28" s="85">
        <f>SUM(F17:F27)</f>
        <v>685.78105470624</v>
      </c>
    </row>
    <row r="29" spans="1:6" ht="15">
      <c r="A29" s="22" t="s">
        <v>87</v>
      </c>
      <c r="B29" s="24"/>
      <c r="C29" s="26"/>
      <c r="D29" s="26"/>
      <c r="E29" s="27"/>
      <c r="F29" s="85"/>
    </row>
    <row r="30" spans="1:6" ht="15">
      <c r="A30" s="23">
        <v>16</v>
      </c>
      <c r="B30" s="23" t="s">
        <v>95</v>
      </c>
      <c r="C30" s="24" t="s">
        <v>26</v>
      </c>
      <c r="D30" s="26">
        <f>C137</f>
        <v>3300000000</v>
      </c>
      <c r="E30" s="26">
        <f>C138</f>
        <v>150000</v>
      </c>
      <c r="F30" s="85">
        <f>D30*E30/10000000000000</f>
        <v>49.5</v>
      </c>
    </row>
    <row r="31" spans="1:6" ht="15">
      <c r="A31" s="23">
        <v>17</v>
      </c>
      <c r="B31" s="23" t="s">
        <v>37</v>
      </c>
      <c r="C31" s="24" t="s">
        <v>39</v>
      </c>
      <c r="D31" s="26">
        <f>C141</f>
        <v>5.76</v>
      </c>
      <c r="E31" s="26">
        <f>C142</f>
        <v>22450000000000</v>
      </c>
      <c r="F31" s="85">
        <f>D31*E31/10000000000000</f>
        <v>12.9312</v>
      </c>
    </row>
    <row r="32" spans="1:6" ht="15">
      <c r="A32" s="23">
        <v>18</v>
      </c>
      <c r="B32" s="23" t="s">
        <v>92</v>
      </c>
      <c r="C32" s="24" t="s">
        <v>39</v>
      </c>
      <c r="D32" s="26">
        <f>C145</f>
        <v>1000</v>
      </c>
      <c r="E32" s="26">
        <f>C146</f>
        <v>1900000000000</v>
      </c>
      <c r="F32" s="85">
        <f>D32*E32/10000000000000</f>
        <v>190</v>
      </c>
    </row>
    <row r="33" spans="1:6" ht="15">
      <c r="A33" s="23"/>
      <c r="B33" s="23"/>
      <c r="C33" s="24"/>
      <c r="D33" s="26"/>
      <c r="E33" s="26"/>
      <c r="F33" s="85"/>
    </row>
    <row r="34" spans="1:6" ht="15">
      <c r="A34" s="22" t="s">
        <v>86</v>
      </c>
      <c r="B34" s="24"/>
      <c r="C34" s="26"/>
      <c r="D34" s="26"/>
      <c r="E34" s="27"/>
      <c r="F34" s="85"/>
    </row>
    <row r="35" spans="1:6" ht="15">
      <c r="A35" s="23">
        <v>19</v>
      </c>
      <c r="B35" s="23" t="s">
        <v>93</v>
      </c>
      <c r="C35" s="24" t="s">
        <v>83</v>
      </c>
      <c r="D35" s="26">
        <f>C148</f>
        <v>93.04</v>
      </c>
      <c r="E35" s="26">
        <f>C149</f>
        <v>585000000000</v>
      </c>
      <c r="F35" s="85">
        <f aca="true" t="shared" si="1" ref="F35:F43">D35*E35/10000000000000</f>
        <v>5.44284</v>
      </c>
    </row>
    <row r="36" spans="1:6" ht="15">
      <c r="A36" s="23">
        <v>20</v>
      </c>
      <c r="B36" s="23" t="s">
        <v>94</v>
      </c>
      <c r="C36" s="24" t="s">
        <v>83</v>
      </c>
      <c r="D36" s="26">
        <f>C151</f>
        <v>5.23</v>
      </c>
      <c r="E36" s="26">
        <f>C152</f>
        <v>184000000000000</v>
      </c>
      <c r="F36" s="85">
        <f t="shared" si="1"/>
        <v>96.23200000000001</v>
      </c>
    </row>
    <row r="37" spans="1:6" ht="15">
      <c r="A37" s="23">
        <v>21</v>
      </c>
      <c r="B37" s="23" t="s">
        <v>104</v>
      </c>
      <c r="C37" s="24" t="s">
        <v>83</v>
      </c>
      <c r="D37" s="26">
        <f>C154</f>
        <v>11.1</v>
      </c>
      <c r="E37" s="26">
        <f>C155</f>
        <v>17200000000</v>
      </c>
      <c r="F37" s="85">
        <f t="shared" si="1"/>
        <v>0.019092</v>
      </c>
    </row>
    <row r="38" spans="1:6" ht="15">
      <c r="A38" s="23">
        <v>22</v>
      </c>
      <c r="B38" s="23" t="s">
        <v>106</v>
      </c>
      <c r="C38" s="24" t="s">
        <v>83</v>
      </c>
      <c r="D38" s="26">
        <f>C157</f>
        <v>42.4</v>
      </c>
      <c r="E38" s="26">
        <f>C158</f>
        <v>4900000000000</v>
      </c>
      <c r="F38" s="85">
        <f t="shared" si="1"/>
        <v>20.776</v>
      </c>
    </row>
    <row r="39" spans="1:6" ht="15">
      <c r="A39" s="23">
        <v>23</v>
      </c>
      <c r="B39" s="23" t="s">
        <v>105</v>
      </c>
      <c r="C39" s="24" t="s">
        <v>26</v>
      </c>
      <c r="D39" s="26">
        <f>C160</f>
        <v>489000000</v>
      </c>
      <c r="E39" s="26">
        <f>C161</f>
        <v>174000</v>
      </c>
      <c r="F39" s="85">
        <f t="shared" si="1"/>
        <v>8.5086</v>
      </c>
    </row>
    <row r="40" spans="1:6" ht="15">
      <c r="A40" s="23">
        <v>24</v>
      </c>
      <c r="B40" s="23" t="s">
        <v>32</v>
      </c>
      <c r="C40" s="24" t="s">
        <v>177</v>
      </c>
      <c r="D40" s="26">
        <f>C164</f>
        <v>790</v>
      </c>
      <c r="E40" s="26">
        <f>C166</f>
        <v>252000</v>
      </c>
      <c r="F40" s="85">
        <f t="shared" si="1"/>
        <v>1.9908E-05</v>
      </c>
    </row>
    <row r="41" spans="1:6" ht="15">
      <c r="A41" s="23">
        <v>25</v>
      </c>
      <c r="B41" s="23" t="s">
        <v>97</v>
      </c>
      <c r="C41" s="24" t="s">
        <v>33</v>
      </c>
      <c r="D41" s="26">
        <f>C168</f>
        <v>1920000000</v>
      </c>
      <c r="E41" s="26">
        <f>C169</f>
        <v>223000</v>
      </c>
      <c r="F41" s="85">
        <f t="shared" si="1"/>
        <v>42.816</v>
      </c>
    </row>
    <row r="42" spans="1:6" ht="15">
      <c r="A42" s="23">
        <v>26</v>
      </c>
      <c r="B42" s="23" t="s">
        <v>96</v>
      </c>
      <c r="C42" s="24" t="s">
        <v>126</v>
      </c>
      <c r="D42" s="26">
        <f>C171</f>
        <v>4</v>
      </c>
      <c r="E42" s="26">
        <f>C172</f>
        <v>23990000000000</v>
      </c>
      <c r="F42" s="85">
        <f t="shared" si="1"/>
        <v>9.596</v>
      </c>
    </row>
    <row r="43" spans="1:6" ht="15">
      <c r="A43" s="23">
        <v>27</v>
      </c>
      <c r="B43" s="23" t="s">
        <v>127</v>
      </c>
      <c r="C43" s="24" t="s">
        <v>39</v>
      </c>
      <c r="D43" s="26">
        <f>C177</f>
        <v>265.36</v>
      </c>
      <c r="E43" s="26">
        <f>C178</f>
        <v>1900000000000</v>
      </c>
      <c r="F43" s="85">
        <f t="shared" si="1"/>
        <v>50.4184</v>
      </c>
    </row>
    <row r="44" spans="1:6" ht="15">
      <c r="A44" s="23"/>
      <c r="B44" s="23"/>
      <c r="C44" s="24"/>
      <c r="D44" s="26"/>
      <c r="E44" s="26"/>
      <c r="F44" s="27"/>
    </row>
    <row r="45" spans="1:6" ht="15">
      <c r="A45" s="23"/>
      <c r="B45" s="28" t="s">
        <v>40</v>
      </c>
      <c r="C45" s="24"/>
      <c r="D45" s="26"/>
      <c r="E45" s="26"/>
      <c r="F45" s="30">
        <f>SUM(F17:F43)</f>
        <v>1857.8022613204798</v>
      </c>
    </row>
    <row r="46" spans="1:6" ht="15">
      <c r="A46" s="23"/>
      <c r="B46" s="28" t="s">
        <v>11</v>
      </c>
      <c r="C46" s="24"/>
      <c r="D46" s="26"/>
      <c r="E46" s="26"/>
      <c r="F46" s="27">
        <f>F45+F13</f>
        <v>2466.92836182352</v>
      </c>
    </row>
    <row r="47" spans="1:6" ht="15.75" thickBot="1">
      <c r="A47" s="22" t="s">
        <v>12</v>
      </c>
      <c r="B47" s="23"/>
      <c r="C47" s="24"/>
      <c r="D47" s="24"/>
      <c r="E47" s="24"/>
      <c r="F47" s="25"/>
    </row>
    <row r="48" spans="1:7" ht="15.75" thickTop="1">
      <c r="A48" s="23">
        <v>28</v>
      </c>
      <c r="B48" s="23" t="s">
        <v>109</v>
      </c>
      <c r="C48" s="24" t="s">
        <v>33</v>
      </c>
      <c r="D48" s="26">
        <f>C181</f>
        <v>11288000000</v>
      </c>
      <c r="E48" s="36">
        <f>F46*10000000000000/D48</f>
        <v>2185443.268801843</v>
      </c>
      <c r="F48" s="37" t="s">
        <v>5</v>
      </c>
      <c r="G48" s="27"/>
    </row>
    <row r="49" spans="1:7" ht="15">
      <c r="A49" s="18">
        <v>29</v>
      </c>
      <c r="B49" s="18" t="s">
        <v>90</v>
      </c>
      <c r="C49" s="16" t="s">
        <v>26</v>
      </c>
      <c r="D49" s="44">
        <v>56500000000</v>
      </c>
      <c r="E49" s="45">
        <f>F46*10000000000000/D49</f>
        <v>436624.48881832213</v>
      </c>
      <c r="F49" s="18" t="s">
        <v>3</v>
      </c>
      <c r="G49" s="16"/>
    </row>
    <row r="50" spans="1:7" ht="15">
      <c r="A50" s="18"/>
      <c r="B50" s="18"/>
      <c r="C50" s="16"/>
      <c r="D50" s="44"/>
      <c r="E50" s="45"/>
      <c r="F50" s="18"/>
      <c r="G50" s="16"/>
    </row>
    <row r="51" spans="1:7" ht="15">
      <c r="A51" s="46"/>
      <c r="B51" s="46"/>
      <c r="C51" s="47"/>
      <c r="D51" s="48"/>
      <c r="E51" s="49"/>
      <c r="F51" s="46"/>
      <c r="G51" s="47"/>
    </row>
    <row r="52" spans="1:7" ht="15">
      <c r="A52" s="43" t="s">
        <v>13</v>
      </c>
      <c r="B52" s="15"/>
      <c r="C52" s="16"/>
      <c r="D52" s="15"/>
      <c r="E52" s="15"/>
      <c r="F52" s="15"/>
      <c r="G52" s="15"/>
    </row>
    <row r="53" spans="1:7" ht="15.75" thickBot="1">
      <c r="A53" s="19"/>
      <c r="B53" s="11"/>
      <c r="C53" s="20"/>
      <c r="D53" s="11"/>
      <c r="E53" s="11"/>
      <c r="F53" s="11"/>
      <c r="G53" s="11"/>
    </row>
    <row r="54" spans="1:7" ht="15">
      <c r="A54" s="38" t="s">
        <v>18</v>
      </c>
      <c r="B54" s="38" t="s">
        <v>41</v>
      </c>
      <c r="C54" s="40"/>
      <c r="D54" s="39"/>
      <c r="E54" s="40" t="s">
        <v>42</v>
      </c>
      <c r="F54" s="39"/>
      <c r="G54" s="40" t="s">
        <v>43</v>
      </c>
    </row>
    <row r="55" spans="1:7" ht="15">
      <c r="A55" s="23"/>
      <c r="B55" s="29"/>
      <c r="C55" s="24"/>
      <c r="D55" s="29"/>
      <c r="E55" s="29"/>
      <c r="F55" s="29"/>
      <c r="G55" s="29"/>
    </row>
    <row r="56" spans="1:7" ht="15">
      <c r="A56" s="23">
        <v>31</v>
      </c>
      <c r="B56" s="29" t="s">
        <v>44</v>
      </c>
      <c r="C56" s="24"/>
      <c r="D56" s="29"/>
      <c r="E56" s="24" t="s">
        <v>45</v>
      </c>
      <c r="F56" s="29"/>
      <c r="G56" s="32">
        <f>F45/F13</f>
        <v>3.0499468989856693</v>
      </c>
    </row>
    <row r="57" spans="1:7" ht="15">
      <c r="A57" s="23">
        <v>32</v>
      </c>
      <c r="B57" s="29" t="s">
        <v>46</v>
      </c>
      <c r="C57" s="24"/>
      <c r="D57" s="29"/>
      <c r="E57" s="24" t="s">
        <v>47</v>
      </c>
      <c r="F57" s="29"/>
      <c r="G57" s="33">
        <f>F46/F45</f>
        <v>1.3278745608104106</v>
      </c>
    </row>
    <row r="58" spans="1:7" ht="15">
      <c r="A58" s="23">
        <v>36</v>
      </c>
      <c r="B58" s="29" t="s">
        <v>48</v>
      </c>
      <c r="C58" s="24"/>
      <c r="D58" s="29"/>
      <c r="E58" s="24" t="s">
        <v>49</v>
      </c>
      <c r="F58" s="29"/>
      <c r="G58" s="32">
        <f>(F12+F17+F18+F18+F19+F23+F24+F25+F26+F30+F37+F38+F39+F40)/F10</f>
        <v>8.484763326307823</v>
      </c>
    </row>
    <row r="59" spans="1:7" ht="15.75" thickBot="1">
      <c r="A59" s="19">
        <v>37</v>
      </c>
      <c r="B59" s="11" t="s">
        <v>50</v>
      </c>
      <c r="C59" s="20"/>
      <c r="D59" s="11"/>
      <c r="E59" s="20" t="s">
        <v>51</v>
      </c>
      <c r="F59" s="11"/>
      <c r="G59" s="31">
        <f>F46*10000000000000</f>
        <v>24669283618235200</v>
      </c>
    </row>
    <row r="60" spans="1:7" ht="15">
      <c r="A60" s="23"/>
      <c r="B60" s="29"/>
      <c r="C60" s="24"/>
      <c r="D60" s="29"/>
      <c r="E60" s="29"/>
      <c r="F60" s="29"/>
      <c r="G60" s="29"/>
    </row>
    <row r="61" spans="1:7" ht="12.75">
      <c r="A61" s="6" t="s">
        <v>120</v>
      </c>
      <c r="B61" s="2"/>
      <c r="C61" s="35"/>
      <c r="D61" s="3"/>
      <c r="E61" s="3"/>
      <c r="F61" s="3"/>
      <c r="G61" s="3"/>
    </row>
    <row r="62" spans="1:7" ht="11.25" customHeight="1">
      <c r="A62" s="81" t="s">
        <v>0</v>
      </c>
      <c r="B62" s="81"/>
      <c r="C62" s="81"/>
      <c r="D62" s="81"/>
      <c r="E62" s="81"/>
      <c r="F62" s="81"/>
      <c r="G62" s="81"/>
    </row>
    <row r="63" spans="1:7" ht="14.25" customHeight="1">
      <c r="A63" s="81"/>
      <c r="B63" s="81"/>
      <c r="C63" s="81"/>
      <c r="D63" s="81"/>
      <c r="E63" s="81"/>
      <c r="F63" s="81"/>
      <c r="G63" s="81"/>
    </row>
    <row r="64" spans="1:7" ht="13.5" customHeight="1">
      <c r="A64" s="1">
        <v>1</v>
      </c>
      <c r="B64" s="2" t="s">
        <v>52</v>
      </c>
      <c r="C64" s="35"/>
      <c r="D64" s="3"/>
      <c r="E64" s="3"/>
      <c r="F64" s="3"/>
      <c r="G64" s="3"/>
    </row>
    <row r="65" spans="1:7" ht="13.5" customHeight="1">
      <c r="A65" s="1"/>
      <c r="B65" s="4" t="s">
        <v>53</v>
      </c>
      <c r="C65" s="79" t="s">
        <v>54</v>
      </c>
      <c r="D65" s="79"/>
      <c r="E65" s="79"/>
      <c r="F65" s="79"/>
      <c r="G65" s="3"/>
    </row>
    <row r="66" spans="1:13" ht="13.5" customHeight="1">
      <c r="A66" s="1"/>
      <c r="B66" s="4" t="s">
        <v>55</v>
      </c>
      <c r="C66" s="34">
        <v>4900000000</v>
      </c>
      <c r="D66" s="1" t="s">
        <v>56</v>
      </c>
      <c r="E66" s="81" t="s">
        <v>1</v>
      </c>
      <c r="F66" s="81"/>
      <c r="G66" s="81"/>
      <c r="H66" s="81"/>
      <c r="I66" s="81"/>
      <c r="J66" s="81"/>
      <c r="K66" s="81"/>
      <c r="L66" s="81"/>
      <c r="M66" s="81"/>
    </row>
    <row r="67" spans="1:7" ht="13.5" customHeight="1">
      <c r="A67" s="1"/>
      <c r="B67" s="4" t="s">
        <v>57</v>
      </c>
      <c r="C67" s="42">
        <v>10000</v>
      </c>
      <c r="D67" s="1" t="s">
        <v>58</v>
      </c>
      <c r="E67" s="77"/>
      <c r="F67" s="77"/>
      <c r="G67" s="77"/>
    </row>
    <row r="68" spans="1:14" ht="13.5" customHeight="1">
      <c r="A68" s="1"/>
      <c r="B68" s="4" t="s">
        <v>59</v>
      </c>
      <c r="C68" s="1">
        <v>0.08</v>
      </c>
      <c r="D68" s="3"/>
      <c r="F68" s="3"/>
      <c r="G68" s="4" t="s">
        <v>2</v>
      </c>
      <c r="H68" s="86" t="s">
        <v>88</v>
      </c>
      <c r="I68" s="86"/>
      <c r="J68" s="86"/>
      <c r="K68" s="86"/>
      <c r="L68" s="86"/>
      <c r="M68" s="86"/>
      <c r="N68" s="86"/>
    </row>
    <row r="69" spans="1:7" ht="13.5" customHeight="1">
      <c r="A69" s="1"/>
      <c r="B69" s="4" t="s">
        <v>60</v>
      </c>
      <c r="C69" s="42">
        <f>C66*C67*(1-C68)</f>
        <v>45080000000000</v>
      </c>
      <c r="D69" s="3" t="s">
        <v>26</v>
      </c>
      <c r="E69" s="3"/>
      <c r="F69" s="3"/>
      <c r="G69" s="3"/>
    </row>
    <row r="70" spans="1:7" ht="13.5" customHeight="1">
      <c r="A70" s="1"/>
      <c r="B70" s="4" t="s">
        <v>159</v>
      </c>
      <c r="C70" s="1">
        <v>1</v>
      </c>
      <c r="D70" s="5" t="s">
        <v>3</v>
      </c>
      <c r="E70" s="1"/>
      <c r="F70" s="3"/>
      <c r="G70" s="4" t="s">
        <v>4</v>
      </c>
    </row>
    <row r="71" spans="1:7" ht="13.5" customHeight="1">
      <c r="A71" s="1">
        <v>2</v>
      </c>
      <c r="B71" s="6" t="s">
        <v>61</v>
      </c>
      <c r="C71" s="1"/>
      <c r="D71" s="3"/>
      <c r="E71" s="3"/>
      <c r="F71" s="3"/>
      <c r="G71" s="3"/>
    </row>
    <row r="72" spans="1:7" ht="13.5" customHeight="1">
      <c r="A72" s="1"/>
      <c r="B72" s="4" t="s">
        <v>53</v>
      </c>
      <c r="C72" s="1" t="s">
        <v>161</v>
      </c>
      <c r="D72" s="3"/>
      <c r="E72" s="3"/>
      <c r="F72" s="3"/>
      <c r="G72" s="3"/>
    </row>
    <row r="73" spans="1:7" ht="13.5" customHeight="1">
      <c r="A73" s="1"/>
      <c r="B73" s="4" t="s">
        <v>62</v>
      </c>
      <c r="C73" s="1">
        <v>54</v>
      </c>
      <c r="D73" s="3"/>
      <c r="E73" s="3"/>
      <c r="F73" s="3"/>
      <c r="G73" s="3"/>
    </row>
    <row r="74" spans="1:7" ht="13.5" customHeight="1">
      <c r="A74" s="1"/>
      <c r="B74" s="4" t="s">
        <v>166</v>
      </c>
      <c r="C74" s="1">
        <v>10000</v>
      </c>
      <c r="D74" s="3"/>
      <c r="E74" s="3"/>
      <c r="F74" s="3"/>
      <c r="G74" s="3"/>
    </row>
    <row r="75" spans="1:7" ht="13.5" customHeight="1">
      <c r="A75" s="1"/>
      <c r="B75" s="4" t="s">
        <v>167</v>
      </c>
      <c r="C75" s="42">
        <v>0.25</v>
      </c>
      <c r="D75" s="3"/>
      <c r="F75" s="3"/>
      <c r="G75" s="4" t="s">
        <v>63</v>
      </c>
    </row>
    <row r="76" spans="1:7" ht="13.5" customHeight="1">
      <c r="A76" s="1"/>
      <c r="B76" s="4" t="s">
        <v>168</v>
      </c>
      <c r="C76" s="42">
        <f>C73*C74*0.0254*1000000*4.74*(1-C75)</f>
        <v>48760380000</v>
      </c>
      <c r="D76" s="3" t="s">
        <v>26</v>
      </c>
      <c r="E76" s="3"/>
      <c r="F76" s="3"/>
      <c r="G76" s="3"/>
    </row>
    <row r="77" spans="1:7" ht="13.5" customHeight="1">
      <c r="A77" s="1"/>
      <c r="B77" s="4" t="s">
        <v>159</v>
      </c>
      <c r="C77" s="42">
        <v>7000</v>
      </c>
      <c r="D77" s="5" t="s">
        <v>3</v>
      </c>
      <c r="E77" s="1"/>
      <c r="F77" s="3"/>
      <c r="G77" s="4"/>
    </row>
    <row r="78" spans="1:7" ht="13.5" customHeight="1">
      <c r="A78" s="1">
        <v>3</v>
      </c>
      <c r="B78" s="2" t="s">
        <v>160</v>
      </c>
      <c r="C78" s="1"/>
      <c r="D78" s="3"/>
      <c r="E78" s="3"/>
      <c r="F78" s="3"/>
      <c r="G78" s="3"/>
    </row>
    <row r="79" spans="1:7" ht="13.5" customHeight="1">
      <c r="A79" s="1"/>
      <c r="B79" s="4" t="s">
        <v>53</v>
      </c>
      <c r="C79" s="1" t="s">
        <v>162</v>
      </c>
      <c r="D79" s="3"/>
      <c r="E79" s="3"/>
      <c r="F79" s="3"/>
      <c r="G79" s="3"/>
    </row>
    <row r="80" spans="1:14" ht="13.5" customHeight="1">
      <c r="A80" s="1"/>
      <c r="B80" s="88" t="s">
        <v>163</v>
      </c>
      <c r="C80" s="56">
        <f>2.47*4000*3790*4.72*365</f>
        <v>64510590560</v>
      </c>
      <c r="D80" s="3"/>
      <c r="E80" s="3"/>
      <c r="F80" s="3"/>
      <c r="G80" s="4" t="s">
        <v>63</v>
      </c>
      <c r="H80" s="86" t="s">
        <v>89</v>
      </c>
      <c r="I80" s="86"/>
      <c r="J80" s="86"/>
      <c r="K80" s="86"/>
      <c r="L80" s="86"/>
      <c r="M80" s="86"/>
      <c r="N80" s="86"/>
    </row>
    <row r="81" spans="1:4" ht="13.5" customHeight="1">
      <c r="A81" s="1"/>
      <c r="B81" s="4" t="s">
        <v>165</v>
      </c>
      <c r="C81" s="89">
        <f>(C80-C76)/C80</f>
        <v>0.24414922299232475</v>
      </c>
      <c r="D81" s="3"/>
    </row>
    <row r="82" spans="1:8" ht="13.5" customHeight="1">
      <c r="A82" s="1"/>
      <c r="B82" s="4" t="s">
        <v>159</v>
      </c>
      <c r="C82" s="56">
        <f>0.76*7000+0.24*48000</f>
        <v>16840</v>
      </c>
      <c r="D82" s="5" t="s">
        <v>3</v>
      </c>
      <c r="E82" s="1"/>
      <c r="F82" s="3"/>
      <c r="G82" s="4" t="s">
        <v>169</v>
      </c>
      <c r="H82" s="56">
        <v>48000</v>
      </c>
    </row>
    <row r="83" spans="1:7" ht="13.5" customHeight="1">
      <c r="A83" s="1">
        <v>4</v>
      </c>
      <c r="B83" s="6" t="s">
        <v>64</v>
      </c>
      <c r="C83" s="4"/>
      <c r="D83" s="3"/>
      <c r="E83" s="3"/>
      <c r="F83" s="3"/>
      <c r="G83" s="3"/>
    </row>
    <row r="84" spans="1:8" ht="13.5" customHeight="1">
      <c r="A84" s="1"/>
      <c r="B84" s="4" t="s">
        <v>65</v>
      </c>
      <c r="C84" s="74">
        <v>1004</v>
      </c>
      <c r="D84" s="3" t="s">
        <v>142</v>
      </c>
      <c r="E84" s="87" t="s">
        <v>143</v>
      </c>
      <c r="F84" s="87"/>
      <c r="G84" s="87"/>
      <c r="H84" s="87"/>
    </row>
    <row r="85" spans="1:8" ht="13.5" customHeight="1">
      <c r="A85" s="1"/>
      <c r="B85" s="4" t="s">
        <v>185</v>
      </c>
      <c r="C85" s="93" t="s">
        <v>186</v>
      </c>
      <c r="D85" s="3"/>
      <c r="E85" s="87"/>
      <c r="F85" s="87"/>
      <c r="G85" s="87"/>
      <c r="H85" s="87"/>
    </row>
    <row r="86" spans="1:8" ht="13.5" customHeight="1">
      <c r="A86" s="1"/>
      <c r="B86" s="88" t="s">
        <v>163</v>
      </c>
      <c r="C86" s="74">
        <f>1004*10000/1000</f>
        <v>10040</v>
      </c>
      <c r="D86" s="3" t="s">
        <v>187</v>
      </c>
      <c r="E86" s="92"/>
      <c r="F86" s="92"/>
      <c r="G86" s="92"/>
      <c r="H86" s="92"/>
    </row>
    <row r="87" spans="1:8" ht="13.5" customHeight="1">
      <c r="A87" s="1"/>
      <c r="B87" s="4" t="s">
        <v>184</v>
      </c>
      <c r="C87" s="94">
        <v>0.005</v>
      </c>
      <c r="D87" s="3"/>
      <c r="E87" s="75" t="s">
        <v>144</v>
      </c>
      <c r="F87" s="9"/>
      <c r="G87" s="3"/>
      <c r="H87" s="52"/>
    </row>
    <row r="88" spans="1:7" ht="13.5" customHeight="1">
      <c r="A88" s="1"/>
      <c r="B88" s="4" t="s">
        <v>188</v>
      </c>
      <c r="C88" s="73">
        <f>C87*C86</f>
        <v>50.2</v>
      </c>
      <c r="D88" s="3" t="s">
        <v>128</v>
      </c>
      <c r="E88" s="8"/>
      <c r="F88" s="10"/>
      <c r="G88" s="3"/>
    </row>
    <row r="89" spans="1:9" ht="13.5" customHeight="1">
      <c r="A89" s="1"/>
      <c r="B89" s="4" t="s">
        <v>159</v>
      </c>
      <c r="C89" s="7">
        <v>92900000000000</v>
      </c>
      <c r="D89" s="5" t="s">
        <v>176</v>
      </c>
      <c r="E89" s="5"/>
      <c r="F89" s="3"/>
      <c r="G89" s="4" t="s">
        <v>173</v>
      </c>
      <c r="H89" s="56">
        <v>85000000</v>
      </c>
      <c r="I89" t="s">
        <v>183</v>
      </c>
    </row>
    <row r="90" spans="1:8" ht="13.5" customHeight="1">
      <c r="A90" s="1">
        <v>5</v>
      </c>
      <c r="B90" s="3" t="s">
        <v>110</v>
      </c>
      <c r="C90" s="4"/>
      <c r="D90" s="3"/>
      <c r="E90" s="3"/>
      <c r="F90" s="3"/>
      <c r="G90" s="3"/>
      <c r="H90" s="56">
        <f>132000000/3.78543</f>
        <v>34870543.10870892</v>
      </c>
    </row>
    <row r="91" spans="1:7" ht="13.5" customHeight="1">
      <c r="A91" s="1"/>
      <c r="B91" s="4" t="s">
        <v>111</v>
      </c>
      <c r="C91" s="7">
        <v>88</v>
      </c>
      <c r="D91" s="3"/>
      <c r="E91" s="3"/>
      <c r="F91" s="3"/>
      <c r="G91" s="4" t="s">
        <v>112</v>
      </c>
    </row>
    <row r="92" spans="1:7" ht="13.5" customHeight="1">
      <c r="A92" s="1"/>
      <c r="B92" s="4" t="s">
        <v>60</v>
      </c>
      <c r="C92" s="7">
        <f>C91*34900000</f>
        <v>3071200000</v>
      </c>
      <c r="D92" s="3" t="s">
        <v>26</v>
      </c>
      <c r="E92" s="3"/>
      <c r="F92" s="3"/>
      <c r="G92" s="3"/>
    </row>
    <row r="93" spans="1:7" ht="13.5" customHeight="1">
      <c r="A93" s="1"/>
      <c r="B93" s="4" t="s">
        <v>159</v>
      </c>
      <c r="C93" s="7">
        <v>170000</v>
      </c>
      <c r="D93" s="5" t="s">
        <v>3</v>
      </c>
      <c r="E93" s="1"/>
      <c r="F93" s="3"/>
      <c r="G93" s="4" t="s">
        <v>4</v>
      </c>
    </row>
    <row r="94" spans="1:7" ht="13.5" customHeight="1">
      <c r="A94" s="1">
        <v>6</v>
      </c>
      <c r="B94" s="6" t="s">
        <v>31</v>
      </c>
      <c r="C94" s="7"/>
      <c r="D94" s="5"/>
      <c r="E94" s="1"/>
      <c r="F94" s="3"/>
      <c r="G94" s="4"/>
    </row>
    <row r="95" spans="1:7" ht="13.5" customHeight="1">
      <c r="A95" s="1"/>
      <c r="B95" s="4"/>
      <c r="C95" s="7">
        <v>55</v>
      </c>
      <c r="D95" s="5" t="s">
        <v>83</v>
      </c>
      <c r="E95" s="1"/>
      <c r="F95" s="3"/>
      <c r="G95" s="4" t="s">
        <v>113</v>
      </c>
    </row>
    <row r="96" spans="1:7" ht="13.5" customHeight="1">
      <c r="A96" s="1"/>
      <c r="B96" s="4" t="s">
        <v>159</v>
      </c>
      <c r="C96" s="7">
        <v>11200000000</v>
      </c>
      <c r="D96" s="5" t="s">
        <v>5</v>
      </c>
      <c r="E96" s="1"/>
      <c r="F96" s="3"/>
      <c r="G96" s="4"/>
    </row>
    <row r="97" spans="1:7" ht="13.5" customHeight="1">
      <c r="A97" s="1">
        <v>7</v>
      </c>
      <c r="B97" s="2" t="s">
        <v>9</v>
      </c>
      <c r="C97" s="4"/>
      <c r="D97" s="3"/>
      <c r="E97" s="3"/>
      <c r="F97" s="3"/>
      <c r="G97" s="3"/>
    </row>
    <row r="98" spans="1:7" ht="13.5" customHeight="1">
      <c r="A98" s="1"/>
      <c r="B98" s="4" t="s">
        <v>69</v>
      </c>
      <c r="C98" s="7">
        <v>9000</v>
      </c>
      <c r="D98" s="3" t="s">
        <v>33</v>
      </c>
      <c r="F98" s="3"/>
      <c r="G98" s="4" t="s">
        <v>114</v>
      </c>
    </row>
    <row r="99" spans="1:7" ht="13.5" customHeight="1">
      <c r="A99" s="1"/>
      <c r="B99" s="4"/>
      <c r="C99" s="7"/>
      <c r="D99" s="3"/>
      <c r="F99" s="3"/>
      <c r="G99" s="4" t="s">
        <v>115</v>
      </c>
    </row>
    <row r="100" spans="1:7" ht="13.5" customHeight="1">
      <c r="A100" s="1"/>
      <c r="B100" s="4" t="s">
        <v>159</v>
      </c>
      <c r="C100" s="7">
        <v>10000000000</v>
      </c>
      <c r="D100" s="5" t="s">
        <v>5</v>
      </c>
      <c r="F100" s="5"/>
      <c r="G100" s="4" t="s">
        <v>6</v>
      </c>
    </row>
    <row r="101" spans="1:7" ht="13.5" customHeight="1">
      <c r="A101" s="1">
        <v>8</v>
      </c>
      <c r="B101" s="6" t="s">
        <v>72</v>
      </c>
      <c r="C101" s="4"/>
      <c r="D101" s="3"/>
      <c r="E101" s="3"/>
      <c r="F101" s="3"/>
      <c r="G101" s="3"/>
    </row>
    <row r="102" spans="1:7" ht="13.5" customHeight="1">
      <c r="A102" s="1"/>
      <c r="B102" s="4" t="s">
        <v>73</v>
      </c>
      <c r="C102" s="72">
        <v>11.4</v>
      </c>
      <c r="D102" t="s">
        <v>158</v>
      </c>
      <c r="E102" s="3"/>
      <c r="F102" s="3"/>
      <c r="G102" s="4" t="s">
        <v>157</v>
      </c>
    </row>
    <row r="103" spans="1:7" ht="13.5" customHeight="1">
      <c r="A103" s="1"/>
      <c r="B103" s="4" t="s">
        <v>159</v>
      </c>
      <c r="C103" s="72">
        <v>22450000000000</v>
      </c>
      <c r="D103" s="5" t="s">
        <v>171</v>
      </c>
      <c r="G103" s="4" t="s">
        <v>7</v>
      </c>
    </row>
    <row r="104" spans="1:7" ht="13.5" customHeight="1">
      <c r="A104" s="1">
        <v>9</v>
      </c>
      <c r="B104" s="2" t="s">
        <v>74</v>
      </c>
      <c r="C104" s="1"/>
      <c r="D104" s="3"/>
      <c r="E104" s="3"/>
      <c r="F104" s="3"/>
      <c r="G104" s="3"/>
    </row>
    <row r="105" spans="1:7" ht="13.5" customHeight="1">
      <c r="A105" s="1"/>
      <c r="B105" s="4" t="s">
        <v>75</v>
      </c>
      <c r="C105" s="7">
        <v>301</v>
      </c>
      <c r="D105" s="3"/>
      <c r="F105" s="3"/>
      <c r="G105" s="4" t="s">
        <v>66</v>
      </c>
    </row>
    <row r="106" spans="1:7" ht="13.5" customHeight="1">
      <c r="A106" s="1"/>
      <c r="B106" s="4" t="s">
        <v>10</v>
      </c>
      <c r="C106" s="1" t="s">
        <v>76</v>
      </c>
      <c r="D106" s="3"/>
      <c r="E106" s="3"/>
      <c r="F106" s="3"/>
      <c r="G106" s="3"/>
    </row>
    <row r="107" spans="1:7" ht="13.5" customHeight="1">
      <c r="A107" s="1"/>
      <c r="B107" s="4" t="s">
        <v>159</v>
      </c>
      <c r="C107" s="7">
        <v>2000000000000</v>
      </c>
      <c r="D107" s="5" t="s">
        <v>8</v>
      </c>
      <c r="F107" s="3"/>
      <c r="G107" s="5" t="s">
        <v>4</v>
      </c>
    </row>
    <row r="108" spans="1:7" ht="13.5" customHeight="1">
      <c r="A108" s="1">
        <v>10</v>
      </c>
      <c r="B108" s="2" t="s">
        <v>85</v>
      </c>
      <c r="C108" s="35"/>
      <c r="D108" s="3"/>
      <c r="E108" s="3"/>
      <c r="F108" s="3"/>
      <c r="G108" s="3"/>
    </row>
    <row r="109" spans="1:7" ht="13.5" customHeight="1">
      <c r="A109" s="1"/>
      <c r="B109" s="4" t="s">
        <v>69</v>
      </c>
      <c r="C109" s="58">
        <v>21000</v>
      </c>
      <c r="D109" s="3"/>
      <c r="E109" s="3"/>
      <c r="F109" s="3"/>
      <c r="G109" s="4" t="s">
        <v>117</v>
      </c>
    </row>
    <row r="110" spans="1:10" ht="13.5" customHeight="1">
      <c r="A110" s="1"/>
      <c r="B110" s="4" t="s">
        <v>159</v>
      </c>
      <c r="C110" s="7">
        <v>201000</v>
      </c>
      <c r="D110" s="3"/>
      <c r="E110" s="3"/>
      <c r="F110" s="3"/>
      <c r="G110" s="4" t="s">
        <v>182</v>
      </c>
      <c r="J110" s="56"/>
    </row>
    <row r="111" spans="1:7" ht="13.5" customHeight="1">
      <c r="A111" s="1">
        <v>11</v>
      </c>
      <c r="B111" s="2" t="s">
        <v>68</v>
      </c>
      <c r="C111" s="1"/>
      <c r="D111" s="3"/>
      <c r="E111" s="3"/>
      <c r="F111" s="3"/>
      <c r="G111" s="3"/>
    </row>
    <row r="112" spans="1:7" ht="13.5" customHeight="1">
      <c r="A112" s="1"/>
      <c r="B112" s="4" t="s">
        <v>69</v>
      </c>
      <c r="C112" s="57">
        <v>1120000</v>
      </c>
      <c r="D112" s="3" t="s">
        <v>33</v>
      </c>
      <c r="E112" s="3"/>
      <c r="F112" s="3"/>
      <c r="G112" s="4" t="s">
        <v>116</v>
      </c>
    </row>
    <row r="113" spans="1:7" ht="13.5" customHeight="1">
      <c r="A113" s="1"/>
      <c r="B113" s="4" t="s">
        <v>159</v>
      </c>
      <c r="C113" s="7">
        <v>17200000</v>
      </c>
      <c r="D113" s="5" t="s">
        <v>5</v>
      </c>
      <c r="F113" s="3"/>
      <c r="G113" s="4" t="s">
        <v>4</v>
      </c>
    </row>
    <row r="114" spans="1:7" ht="13.5" customHeight="1">
      <c r="A114" s="1">
        <v>12</v>
      </c>
      <c r="B114" s="2" t="s">
        <v>70</v>
      </c>
      <c r="C114" s="4"/>
      <c r="D114" s="3"/>
      <c r="E114" s="3"/>
      <c r="F114" s="3"/>
      <c r="G114" s="3"/>
    </row>
    <row r="115" spans="1:7" ht="13.5" customHeight="1">
      <c r="A115" s="1"/>
      <c r="B115" s="4" t="s">
        <v>67</v>
      </c>
      <c r="C115" s="7">
        <v>65000</v>
      </c>
      <c r="D115" s="3" t="s">
        <v>35</v>
      </c>
      <c r="E115" s="3"/>
      <c r="F115" s="3"/>
      <c r="G115" s="4" t="s">
        <v>115</v>
      </c>
    </row>
    <row r="116" spans="1:7" ht="13.5" customHeight="1">
      <c r="A116" s="1"/>
      <c r="B116" s="4" t="s">
        <v>159</v>
      </c>
      <c r="C116" s="7">
        <v>6720000000</v>
      </c>
      <c r="D116" s="5" t="s">
        <v>5</v>
      </c>
      <c r="F116" s="3"/>
      <c r="G116" s="4" t="s">
        <v>118</v>
      </c>
    </row>
    <row r="117" spans="1:7" ht="13.5" customHeight="1">
      <c r="A117" s="1">
        <v>13</v>
      </c>
      <c r="B117" s="2" t="s">
        <v>71</v>
      </c>
      <c r="C117" s="4"/>
      <c r="D117" s="3"/>
      <c r="E117" s="3"/>
      <c r="F117" s="3"/>
      <c r="G117" s="3"/>
    </row>
    <row r="118" spans="1:7" ht="13.5" customHeight="1">
      <c r="A118" s="1"/>
      <c r="B118" s="4" t="s">
        <v>67</v>
      </c>
      <c r="C118" s="7">
        <v>153000</v>
      </c>
      <c r="D118" s="3" t="s">
        <v>36</v>
      </c>
      <c r="E118" s="3"/>
      <c r="F118" s="3"/>
      <c r="G118" s="4" t="s">
        <v>115</v>
      </c>
    </row>
    <row r="119" spans="1:7" ht="13.5" customHeight="1">
      <c r="A119" s="1"/>
      <c r="B119" s="4" t="s">
        <v>159</v>
      </c>
      <c r="C119" s="7">
        <v>2400000000</v>
      </c>
      <c r="D119" s="5" t="s">
        <v>5</v>
      </c>
      <c r="F119" s="3"/>
      <c r="G119" s="4" t="s">
        <v>118</v>
      </c>
    </row>
    <row r="120" spans="1:2" ht="13.5" customHeight="1">
      <c r="A120" s="1">
        <v>14</v>
      </c>
      <c r="B120" s="6" t="s">
        <v>91</v>
      </c>
    </row>
    <row r="121" spans="1:7" ht="13.5" customHeight="1">
      <c r="A121" s="1"/>
      <c r="B121" s="3" t="s">
        <v>130</v>
      </c>
      <c r="C121"/>
      <c r="G121" s="68" t="s">
        <v>131</v>
      </c>
    </row>
    <row r="122" spans="1:4" ht="13.5" customHeight="1">
      <c r="A122" s="1"/>
      <c r="B122" s="71" t="s">
        <v>133</v>
      </c>
      <c r="C122" s="69">
        <v>15497</v>
      </c>
      <c r="D122" s="3" t="s">
        <v>132</v>
      </c>
    </row>
    <row r="123" spans="1:4" ht="13.5" customHeight="1">
      <c r="A123" s="1"/>
      <c r="B123" s="4" t="s">
        <v>134</v>
      </c>
      <c r="C123" s="3">
        <v>1055.056</v>
      </c>
      <c r="D123" s="3" t="s">
        <v>26</v>
      </c>
    </row>
    <row r="124" spans="1:4" ht="13.5" customHeight="1">
      <c r="A124" s="1"/>
      <c r="B124" s="4" t="s">
        <v>135</v>
      </c>
      <c r="C124" s="70">
        <f>C122*C123</f>
        <v>16350202.832</v>
      </c>
      <c r="D124" s="3" t="s">
        <v>26</v>
      </c>
    </row>
    <row r="125" spans="1:4" ht="13.5" customHeight="1">
      <c r="A125" s="1"/>
      <c r="B125" s="4" t="s">
        <v>137</v>
      </c>
      <c r="C125" s="70">
        <f>180*C124</f>
        <v>2943036509.76</v>
      </c>
      <c r="D125" s="3" t="s">
        <v>26</v>
      </c>
    </row>
    <row r="126" spans="1:4" ht="13.5" customHeight="1">
      <c r="A126" s="1"/>
      <c r="B126" s="4" t="s">
        <v>145</v>
      </c>
      <c r="C126" s="4">
        <v>2.5</v>
      </c>
      <c r="D126" s="3" t="s">
        <v>136</v>
      </c>
    </row>
    <row r="127" spans="1:4" ht="13.5" customHeight="1">
      <c r="A127" s="1"/>
      <c r="B127" s="4"/>
      <c r="C127" s="7">
        <f>C125*C126</f>
        <v>7357591274.400001</v>
      </c>
      <c r="D127" s="3" t="s">
        <v>26</v>
      </c>
    </row>
    <row r="128" spans="1:7" ht="13.5" customHeight="1">
      <c r="A128" s="1"/>
      <c r="B128" s="4" t="s">
        <v>159</v>
      </c>
      <c r="C128" s="7">
        <v>146000</v>
      </c>
      <c r="D128" s="3" t="s">
        <v>3</v>
      </c>
      <c r="G128" s="4" t="s">
        <v>173</v>
      </c>
    </row>
    <row r="129" spans="1:7" ht="13.5" customHeight="1">
      <c r="A129" s="1">
        <v>15</v>
      </c>
      <c r="B129" s="2" t="s">
        <v>138</v>
      </c>
      <c r="C129"/>
      <c r="G129" s="68"/>
    </row>
    <row r="130" spans="1:7" ht="13.5" customHeight="1">
      <c r="A130" s="1"/>
      <c r="B130" s="3" t="s">
        <v>139</v>
      </c>
      <c r="D130" s="3"/>
      <c r="E130" s="3"/>
      <c r="G130" s="4"/>
    </row>
    <row r="131" spans="1:7" ht="13.5" customHeight="1">
      <c r="A131" s="1"/>
      <c r="B131" s="3" t="s">
        <v>140</v>
      </c>
      <c r="D131" s="3"/>
      <c r="E131" s="3"/>
      <c r="G131" s="4"/>
    </row>
    <row r="132" spans="1:7" ht="13.5" customHeight="1">
      <c r="A132" s="1"/>
      <c r="B132" s="3" t="s">
        <v>141</v>
      </c>
      <c r="C132" s="3"/>
      <c r="D132" s="3"/>
      <c r="E132" s="3"/>
      <c r="G132" s="68"/>
    </row>
    <row r="133" spans="1:7" ht="13.5" customHeight="1">
      <c r="A133" s="1"/>
      <c r="B133" s="4" t="s">
        <v>148</v>
      </c>
      <c r="C133" s="70">
        <v>1500</v>
      </c>
      <c r="D133" s="3" t="s">
        <v>147</v>
      </c>
      <c r="E133" s="3"/>
      <c r="G133" s="68"/>
    </row>
    <row r="134" spans="1:7" ht="13.5" customHeight="1">
      <c r="A134" s="1"/>
      <c r="B134" s="4" t="s">
        <v>159</v>
      </c>
      <c r="C134" s="70">
        <v>1900000000000</v>
      </c>
      <c r="D134" s="3" t="s">
        <v>146</v>
      </c>
      <c r="E134" s="3"/>
      <c r="G134" s="4" t="s">
        <v>173</v>
      </c>
    </row>
    <row r="135" spans="1:7" ht="13.5" customHeight="1">
      <c r="A135" s="1">
        <v>16</v>
      </c>
      <c r="B135" s="6" t="s">
        <v>95</v>
      </c>
      <c r="C135" s="42"/>
      <c r="D135" s="5"/>
      <c r="E135" s="5"/>
      <c r="F135" s="3"/>
      <c r="G135" s="4"/>
    </row>
    <row r="136" spans="1:7" ht="13.5" customHeight="1">
      <c r="A136" s="1"/>
      <c r="B136" s="6" t="s">
        <v>152</v>
      </c>
      <c r="C136" s="42"/>
      <c r="D136" s="5"/>
      <c r="E136" s="5"/>
      <c r="F136" s="3"/>
      <c r="G136" s="4"/>
    </row>
    <row r="137" spans="1:7" ht="13.5" customHeight="1">
      <c r="A137" s="1"/>
      <c r="B137" s="76" t="s">
        <v>153</v>
      </c>
      <c r="C137" s="7">
        <v>3300000000</v>
      </c>
      <c r="D137" s="5" t="s">
        <v>26</v>
      </c>
      <c r="E137" s="5"/>
      <c r="F137" s="3"/>
      <c r="G137" s="4"/>
    </row>
    <row r="138" spans="1:7" ht="13.5" customHeight="1">
      <c r="A138" s="1"/>
      <c r="B138" s="4" t="s">
        <v>159</v>
      </c>
      <c r="C138" s="7">
        <v>150000</v>
      </c>
      <c r="D138" s="5"/>
      <c r="E138" s="5"/>
      <c r="F138" s="3"/>
      <c r="G138" s="4" t="s">
        <v>173</v>
      </c>
    </row>
    <row r="139" spans="1:7" ht="13.5" customHeight="1">
      <c r="A139" s="1">
        <v>17</v>
      </c>
      <c r="B139" s="6" t="s">
        <v>37</v>
      </c>
      <c r="C139" s="42"/>
      <c r="D139" s="5"/>
      <c r="E139" s="5"/>
      <c r="F139" s="3"/>
      <c r="G139" s="4"/>
    </row>
    <row r="140" spans="1:7" ht="13.5" customHeight="1">
      <c r="A140" s="1"/>
      <c r="B140" s="6" t="s">
        <v>174</v>
      </c>
      <c r="C140" s="42"/>
      <c r="D140" s="5"/>
      <c r="E140" s="5"/>
      <c r="F140" s="3"/>
      <c r="G140" s="4"/>
    </row>
    <row r="141" spans="1:7" ht="13.5" customHeight="1">
      <c r="A141" s="1"/>
      <c r="B141" s="76" t="s">
        <v>154</v>
      </c>
      <c r="C141" s="7">
        <f>2*2.88</f>
        <v>5.76</v>
      </c>
      <c r="D141" s="5" t="s">
        <v>170</v>
      </c>
      <c r="E141" s="5"/>
      <c r="F141" s="3"/>
      <c r="G141" s="4"/>
    </row>
    <row r="142" spans="1:7" ht="13.5" customHeight="1">
      <c r="A142" s="1"/>
      <c r="B142" s="4" t="s">
        <v>159</v>
      </c>
      <c r="C142" s="70">
        <v>22450000000000</v>
      </c>
      <c r="D142" s="3" t="s">
        <v>171</v>
      </c>
      <c r="E142" s="5"/>
      <c r="F142" s="3"/>
      <c r="G142" s="4" t="s">
        <v>173</v>
      </c>
    </row>
    <row r="143" spans="1:7" ht="13.5" customHeight="1">
      <c r="A143" s="1">
        <v>18</v>
      </c>
      <c r="B143" s="6" t="s">
        <v>92</v>
      </c>
      <c r="C143" s="42"/>
      <c r="D143" s="5"/>
      <c r="E143" s="5"/>
      <c r="F143" s="3"/>
      <c r="G143" s="4"/>
    </row>
    <row r="144" spans="1:7" ht="13.5" customHeight="1">
      <c r="A144" s="1"/>
      <c r="B144" s="6" t="s">
        <v>156</v>
      </c>
      <c r="C144" s="42"/>
      <c r="D144" s="5"/>
      <c r="E144" s="5"/>
      <c r="F144" s="3"/>
      <c r="G144" s="4"/>
    </row>
    <row r="145" spans="1:7" ht="13.5" customHeight="1">
      <c r="A145" s="1"/>
      <c r="B145" s="76" t="s">
        <v>155</v>
      </c>
      <c r="C145" s="7">
        <f>10000*0.1</f>
        <v>1000</v>
      </c>
      <c r="D145" s="5" t="s">
        <v>39</v>
      </c>
      <c r="E145" s="5"/>
      <c r="F145" s="3"/>
      <c r="G145" s="4"/>
    </row>
    <row r="146" spans="1:7" ht="13.5" customHeight="1">
      <c r="A146" s="1"/>
      <c r="B146" s="4" t="s">
        <v>159</v>
      </c>
      <c r="C146" s="70">
        <v>1900000000000</v>
      </c>
      <c r="D146" s="3" t="s">
        <v>146</v>
      </c>
      <c r="E146" s="5"/>
      <c r="F146" s="3"/>
      <c r="G146" s="4"/>
    </row>
    <row r="147" spans="1:7" ht="13.5" customHeight="1">
      <c r="A147" s="1">
        <v>19</v>
      </c>
      <c r="B147" s="6" t="s">
        <v>93</v>
      </c>
      <c r="C147" s="42"/>
      <c r="D147" s="5"/>
      <c r="E147" s="5"/>
      <c r="F147" s="3"/>
      <c r="G147" s="4"/>
    </row>
    <row r="148" spans="1:7" ht="13.5" customHeight="1">
      <c r="A148" s="1"/>
      <c r="B148" s="35" t="s">
        <v>172</v>
      </c>
      <c r="C148" s="7">
        <v>93.04</v>
      </c>
      <c r="D148" s="5" t="s">
        <v>128</v>
      </c>
      <c r="E148" s="5"/>
      <c r="F148" s="3"/>
      <c r="G148" s="4" t="s">
        <v>121</v>
      </c>
    </row>
    <row r="149" spans="1:7" ht="13.5" customHeight="1">
      <c r="A149" s="1"/>
      <c r="B149" s="4" t="s">
        <v>159</v>
      </c>
      <c r="C149" s="7">
        <v>585000000000</v>
      </c>
      <c r="D149" s="5" t="s">
        <v>176</v>
      </c>
      <c r="E149" s="5"/>
      <c r="F149" s="3"/>
      <c r="G149" s="4" t="s">
        <v>173</v>
      </c>
    </row>
    <row r="150" spans="1:7" ht="13.5" customHeight="1">
      <c r="A150" s="1">
        <v>20</v>
      </c>
      <c r="B150" s="6" t="s">
        <v>94</v>
      </c>
      <c r="C150" s="7"/>
      <c r="D150" s="5"/>
      <c r="E150" s="5"/>
      <c r="F150" s="3"/>
      <c r="G150" s="4"/>
    </row>
    <row r="151" spans="1:7" ht="13.5" customHeight="1">
      <c r="A151" s="1"/>
      <c r="B151" s="4" t="s">
        <v>175</v>
      </c>
      <c r="C151" s="7">
        <v>5.23</v>
      </c>
      <c r="D151" s="5" t="s">
        <v>128</v>
      </c>
      <c r="E151" s="5"/>
      <c r="F151" s="3"/>
      <c r="G151" s="4" t="s">
        <v>121</v>
      </c>
    </row>
    <row r="152" spans="1:7" ht="13.5" customHeight="1">
      <c r="A152" s="1"/>
      <c r="B152" s="4" t="s">
        <v>159</v>
      </c>
      <c r="C152" s="7">
        <v>184000000000000</v>
      </c>
      <c r="D152" s="5" t="s">
        <v>176</v>
      </c>
      <c r="E152" s="5"/>
      <c r="F152" s="3"/>
      <c r="G152" s="4" t="s">
        <v>173</v>
      </c>
    </row>
    <row r="153" spans="1:7" ht="13.5" customHeight="1">
      <c r="A153" s="1">
        <v>21</v>
      </c>
      <c r="B153" s="6" t="s">
        <v>104</v>
      </c>
      <c r="C153" s="7"/>
      <c r="D153" s="5"/>
      <c r="E153" s="5"/>
      <c r="F153" s="3"/>
      <c r="G153" s="4"/>
    </row>
    <row r="154" spans="1:7" ht="13.5" customHeight="1">
      <c r="A154" s="1"/>
      <c r="C154" s="7">
        <v>11.1</v>
      </c>
      <c r="D154" s="5" t="s">
        <v>83</v>
      </c>
      <c r="E154" s="5"/>
      <c r="F154" s="3"/>
      <c r="G154" s="4" t="s">
        <v>122</v>
      </c>
    </row>
    <row r="155" spans="1:7" ht="13.5" customHeight="1">
      <c r="A155" s="1"/>
      <c r="B155" s="4" t="s">
        <v>159</v>
      </c>
      <c r="C155" s="7">
        <v>17200000000</v>
      </c>
      <c r="D155" s="5" t="s">
        <v>5</v>
      </c>
      <c r="F155" s="3"/>
      <c r="G155" s="4" t="s">
        <v>173</v>
      </c>
    </row>
    <row r="156" spans="1:7" ht="13.5" customHeight="1">
      <c r="A156" s="1">
        <v>22</v>
      </c>
      <c r="B156" s="6" t="s">
        <v>106</v>
      </c>
      <c r="C156" s="7"/>
      <c r="D156" s="5"/>
      <c r="E156" s="5"/>
      <c r="F156" s="3"/>
      <c r="G156" s="4"/>
    </row>
    <row r="157" spans="1:7" ht="13.5" customHeight="1">
      <c r="A157" s="1"/>
      <c r="C157" s="78">
        <v>42.4</v>
      </c>
      <c r="D157" s="1" t="s">
        <v>83</v>
      </c>
      <c r="E157" s="5"/>
      <c r="F157" s="3"/>
      <c r="G157" s="4" t="s">
        <v>122</v>
      </c>
    </row>
    <row r="158" spans="1:7" ht="13.5" customHeight="1">
      <c r="A158" s="1"/>
      <c r="B158" s="4" t="s">
        <v>159</v>
      </c>
      <c r="C158" s="7">
        <v>4900000000000</v>
      </c>
      <c r="D158" s="5" t="s">
        <v>176</v>
      </c>
      <c r="E158" s="5"/>
      <c r="F158" s="3"/>
      <c r="G158" s="4" t="s">
        <v>173</v>
      </c>
    </row>
    <row r="159" spans="1:7" ht="13.5" customHeight="1">
      <c r="A159" s="1">
        <v>23</v>
      </c>
      <c r="B159" s="6" t="s">
        <v>105</v>
      </c>
      <c r="C159" s="42"/>
      <c r="D159" s="5"/>
      <c r="E159" s="5"/>
      <c r="F159" s="3"/>
      <c r="G159" s="4"/>
    </row>
    <row r="160" spans="1:7" ht="13.5" customHeight="1">
      <c r="A160" s="1"/>
      <c r="B160" s="6"/>
      <c r="C160" s="7">
        <v>489000000</v>
      </c>
      <c r="D160" s="5" t="s">
        <v>26</v>
      </c>
      <c r="E160" s="5"/>
      <c r="F160" s="3"/>
      <c r="G160" s="4"/>
    </row>
    <row r="161" spans="1:7" ht="13.5" customHeight="1">
      <c r="A161" s="1"/>
      <c r="B161" s="4" t="s">
        <v>159</v>
      </c>
      <c r="C161" s="7">
        <v>174000</v>
      </c>
      <c r="D161" s="5" t="s">
        <v>3</v>
      </c>
      <c r="E161" s="5"/>
      <c r="F161" s="3"/>
      <c r="G161" s="4" t="s">
        <v>173</v>
      </c>
    </row>
    <row r="162" spans="1:7" ht="13.5" customHeight="1">
      <c r="A162" s="1"/>
      <c r="C162" s="42"/>
      <c r="D162" s="5"/>
      <c r="E162" s="5"/>
      <c r="F162" s="3"/>
      <c r="G162" s="4"/>
    </row>
    <row r="163" spans="1:7" ht="13.5" customHeight="1">
      <c r="A163" s="1">
        <v>24</v>
      </c>
      <c r="B163" s="6" t="s">
        <v>32</v>
      </c>
      <c r="C163" s="42"/>
      <c r="D163" s="5"/>
      <c r="E163" s="5"/>
      <c r="F163" s="3"/>
      <c r="G163" s="4"/>
    </row>
    <row r="164" spans="1:7" ht="13.5" customHeight="1">
      <c r="A164" s="1"/>
      <c r="C164" s="7">
        <v>790</v>
      </c>
      <c r="D164" s="1" t="s">
        <v>129</v>
      </c>
      <c r="E164" s="5"/>
      <c r="F164" s="3"/>
      <c r="G164" s="4"/>
    </row>
    <row r="165" spans="1:7" ht="13.5" customHeight="1">
      <c r="A165" s="1"/>
      <c r="C165" s="7">
        <v>2850000000</v>
      </c>
      <c r="D165" s="1" t="s">
        <v>26</v>
      </c>
      <c r="E165" s="5"/>
      <c r="F165" s="3"/>
      <c r="G165" s="4" t="s">
        <v>122</v>
      </c>
    </row>
    <row r="166" spans="1:7" ht="13.5" customHeight="1">
      <c r="A166" s="1"/>
      <c r="B166" s="4" t="s">
        <v>159</v>
      </c>
      <c r="C166" s="7">
        <v>252000</v>
      </c>
      <c r="D166" s="1" t="s">
        <v>3</v>
      </c>
      <c r="E166" s="5"/>
      <c r="F166" s="3"/>
      <c r="G166" s="4" t="s">
        <v>118</v>
      </c>
    </row>
    <row r="167" spans="1:7" ht="13.5" customHeight="1">
      <c r="A167" s="1">
        <v>25</v>
      </c>
      <c r="B167" s="6" t="s">
        <v>107</v>
      </c>
      <c r="C167" s="42"/>
      <c r="D167" s="5"/>
      <c r="E167" s="5"/>
      <c r="F167" s="3"/>
      <c r="G167" s="4"/>
    </row>
    <row r="168" spans="1:8" ht="13.5" customHeight="1">
      <c r="A168" s="1"/>
      <c r="B168" s="1"/>
      <c r="C168" s="7">
        <v>1920000000</v>
      </c>
      <c r="D168" s="4" t="s">
        <v>178</v>
      </c>
      <c r="E168" s="5"/>
      <c r="F168" s="3"/>
      <c r="G168" s="4" t="s">
        <v>122</v>
      </c>
      <c r="H168" s="56"/>
    </row>
    <row r="169" spans="1:8" ht="13.5" customHeight="1">
      <c r="A169" s="1"/>
      <c r="B169" s="4" t="s">
        <v>159</v>
      </c>
      <c r="C169" s="7">
        <v>223000</v>
      </c>
      <c r="D169" s="4" t="s">
        <v>5</v>
      </c>
      <c r="E169" s="5"/>
      <c r="F169" s="3"/>
      <c r="G169" s="4" t="s">
        <v>173</v>
      </c>
      <c r="H169" s="56"/>
    </row>
    <row r="170" spans="1:7" ht="13.5" customHeight="1">
      <c r="A170" s="1">
        <v>26</v>
      </c>
      <c r="B170" s="6" t="s">
        <v>96</v>
      </c>
      <c r="C170" s="7"/>
      <c r="D170" s="4"/>
      <c r="E170" s="5"/>
      <c r="F170" s="3"/>
      <c r="G170" s="4"/>
    </row>
    <row r="171" spans="1:9" ht="13.5" customHeight="1">
      <c r="A171" s="1"/>
      <c r="C171" s="78">
        <v>4</v>
      </c>
      <c r="D171" s="4" t="s">
        <v>179</v>
      </c>
      <c r="E171" s="42"/>
      <c r="F171" s="3"/>
      <c r="G171" s="4" t="s">
        <v>122</v>
      </c>
      <c r="H171" s="56">
        <f>50*40</f>
        <v>2000</v>
      </c>
      <c r="I171" s="56">
        <f>H171*C171</f>
        <v>8000</v>
      </c>
    </row>
    <row r="172" spans="1:7" ht="13.5" customHeight="1">
      <c r="A172" s="1"/>
      <c r="B172" s="4" t="s">
        <v>159</v>
      </c>
      <c r="C172" s="7">
        <v>23990000000000</v>
      </c>
      <c r="D172" s="1" t="s">
        <v>171</v>
      </c>
      <c r="E172" s="5"/>
      <c r="F172" s="3"/>
      <c r="G172" s="4" t="s">
        <v>173</v>
      </c>
    </row>
    <row r="173" spans="1:7" ht="13.5" customHeight="1">
      <c r="A173" s="65">
        <v>27</v>
      </c>
      <c r="B173" s="66" t="s">
        <v>150</v>
      </c>
      <c r="D173" s="4"/>
      <c r="E173" s="5"/>
      <c r="F173" s="3"/>
      <c r="G173" s="3"/>
    </row>
    <row r="174" spans="1:7" ht="13.5" customHeight="1">
      <c r="A174" s="65"/>
      <c r="B174" s="66"/>
      <c r="C174" s="7" t="s">
        <v>123</v>
      </c>
      <c r="D174" s="4"/>
      <c r="E174" s="5"/>
      <c r="F174" s="3"/>
      <c r="G174" s="3"/>
    </row>
    <row r="175" spans="1:7" ht="13.5" customHeight="1">
      <c r="A175" s="65"/>
      <c r="B175" s="66"/>
      <c r="C175" s="7" t="s">
        <v>124</v>
      </c>
      <c r="D175" s="4"/>
      <c r="E175" s="5"/>
      <c r="F175" s="3"/>
      <c r="G175" s="3"/>
    </row>
    <row r="176" spans="1:7" ht="13.5" customHeight="1">
      <c r="A176" s="65"/>
      <c r="B176" s="66"/>
      <c r="C176" s="42" t="s">
        <v>125</v>
      </c>
      <c r="D176" s="5"/>
      <c r="E176" s="5"/>
      <c r="F176" s="3"/>
      <c r="G176" s="3"/>
    </row>
    <row r="177" spans="1:7" ht="13.5" customHeight="1">
      <c r="A177" s="65"/>
      <c r="B177" s="67" t="s">
        <v>151</v>
      </c>
      <c r="C177" s="7">
        <v>265.36</v>
      </c>
      <c r="D177" s="5" t="s">
        <v>39</v>
      </c>
      <c r="E177" s="5"/>
      <c r="F177" s="3"/>
      <c r="G177" s="4" t="s">
        <v>122</v>
      </c>
    </row>
    <row r="178" spans="1:7" ht="13.5" customHeight="1">
      <c r="A178" s="65"/>
      <c r="B178" s="4" t="s">
        <v>159</v>
      </c>
      <c r="C178" s="7">
        <v>1900000000000</v>
      </c>
      <c r="D178" s="5" t="s">
        <v>180</v>
      </c>
      <c r="F178" s="3"/>
      <c r="G178" s="4" t="s">
        <v>181</v>
      </c>
    </row>
    <row r="179" spans="1:7" ht="13.5" customHeight="1">
      <c r="A179" s="50"/>
      <c r="B179" s="51"/>
      <c r="C179" s="42"/>
      <c r="D179" s="5"/>
      <c r="E179" s="5"/>
      <c r="F179" s="3"/>
      <c r="G179" s="3"/>
    </row>
    <row r="180" spans="1:7" s="64" customFormat="1" ht="13.5" customHeight="1">
      <c r="A180" s="61">
        <v>28</v>
      </c>
      <c r="B180" s="62" t="s">
        <v>108</v>
      </c>
      <c r="C180" s="61"/>
      <c r="D180" s="63"/>
      <c r="E180" s="63"/>
      <c r="F180" s="63"/>
      <c r="G180" s="59"/>
    </row>
    <row r="181" spans="1:7" ht="13.5" customHeight="1">
      <c r="A181" s="1"/>
      <c r="B181" s="3" t="s">
        <v>77</v>
      </c>
      <c r="C181" s="60">
        <f>11288000*1000</f>
        <v>11288000000</v>
      </c>
      <c r="D181" s="3" t="s">
        <v>78</v>
      </c>
      <c r="E181" s="3"/>
      <c r="F181" s="3"/>
      <c r="G181" s="4" t="s">
        <v>119</v>
      </c>
    </row>
    <row r="182" spans="1:7" ht="13.5" customHeight="1">
      <c r="A182" s="1">
        <v>29</v>
      </c>
      <c r="B182" s="2" t="s">
        <v>79</v>
      </c>
      <c r="C182" s="1"/>
      <c r="D182" s="3"/>
      <c r="E182" s="3"/>
      <c r="F182" s="3"/>
      <c r="G182" s="3"/>
    </row>
    <row r="183" spans="1:7" ht="13.5" customHeight="1">
      <c r="A183" s="1"/>
      <c r="B183" s="3" t="s">
        <v>80</v>
      </c>
      <c r="C183" s="1"/>
      <c r="G183" s="4" t="s">
        <v>81</v>
      </c>
    </row>
    <row r="184" spans="1:7" ht="13.5" customHeight="1">
      <c r="A184" s="1"/>
      <c r="B184" s="3" t="s">
        <v>82</v>
      </c>
      <c r="C184" s="1">
        <f>C181*1000*(0.086*24+0.914*17)</f>
        <v>198691376000000</v>
      </c>
      <c r="D184" s="3" t="s">
        <v>26</v>
      </c>
      <c r="E184" s="3"/>
      <c r="F184" s="3"/>
      <c r="G184" s="3"/>
    </row>
    <row r="185" spans="1:7" ht="13.5" customHeight="1">
      <c r="A185" s="1">
        <v>30</v>
      </c>
      <c r="B185" s="2" t="s">
        <v>90</v>
      </c>
      <c r="C185" s="1"/>
      <c r="D185" s="3"/>
      <c r="E185" s="3"/>
      <c r="F185" s="3"/>
      <c r="G185" s="3"/>
    </row>
    <row r="186" spans="1:7" ht="13.5" customHeight="1">
      <c r="A186" s="1"/>
      <c r="B186" s="3"/>
      <c r="C186" s="7">
        <v>56500000000</v>
      </c>
      <c r="D186" s="3"/>
      <c r="E186" s="3"/>
      <c r="F186" s="3"/>
      <c r="G186" s="4" t="s">
        <v>118</v>
      </c>
    </row>
    <row r="187" spans="1:7" ht="13.5" customHeight="1">
      <c r="A187" s="1"/>
      <c r="B187" s="3"/>
      <c r="C187" s="1"/>
      <c r="D187" s="3"/>
      <c r="E187" s="3"/>
      <c r="F187" s="3"/>
      <c r="G187" s="3"/>
    </row>
    <row r="188" spans="1:7" ht="13.5" customHeight="1">
      <c r="A188" s="1"/>
      <c r="C188" s="1"/>
      <c r="D188" s="3"/>
      <c r="E188" s="3"/>
      <c r="F188" s="3"/>
      <c r="G188" s="3"/>
    </row>
  </sheetData>
  <sheetProtection/>
  <mergeCells count="11">
    <mergeCell ref="H80:N80"/>
    <mergeCell ref="H68:N68"/>
    <mergeCell ref="E66:M66"/>
    <mergeCell ref="E84:H85"/>
    <mergeCell ref="C65:F65"/>
    <mergeCell ref="A1:G1"/>
    <mergeCell ref="A62:G63"/>
    <mergeCell ref="A7:B7"/>
    <mergeCell ref="A11:B11"/>
    <mergeCell ref="A15:B15"/>
    <mergeCell ref="B13:D13"/>
  </mergeCells>
  <printOptions/>
  <pageMargins left="0.25" right="0.25" top="0.63" bottom="0.6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Orange Emergy Evaluation</dc:title>
  <dc:subject>Emergy Indices</dc:subject>
  <dc:creator>Sherry Brandt-Williams</dc:creator>
  <cp:keywords/>
  <dc:description>First Evaluation March 1996
Last Revision December 2002</dc:description>
  <cp:lastModifiedBy>Mark Brown</cp:lastModifiedBy>
  <cp:lastPrinted>2006-03-01T13:04:51Z</cp:lastPrinted>
  <dcterms:created xsi:type="dcterms:W3CDTF">1999-03-25T05:55:55Z</dcterms:created>
  <dcterms:modified xsi:type="dcterms:W3CDTF">2017-05-14T20:35:22Z</dcterms:modified>
  <cp:category/>
  <cp:version/>
  <cp:contentType/>
  <cp:contentStatus/>
</cp:coreProperties>
</file>